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<sst xmlns="http://schemas.openxmlformats.org/spreadsheetml/2006/main" count="108" uniqueCount="72">
  <si>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</si>
  <si>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</si>
  <si>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</si>
  <si>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</si>
  <si>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</si>
  <si>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</si>
  <si>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</si>
  <si>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</si>
  <si>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</si>
  <si>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</si>
  <si>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</si>
  <si>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</si>
  <si>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</si>
  <si>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</si>
  <si>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</si>
  <si>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</si>
  <si>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</si>
  <si>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</si>
  <si>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</si>
  <si>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</si>
  <si>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</si>
  <si>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</si>
  <si>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</si>
  <si>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</si>
  <si>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</si>
  <si>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</si>
  <si>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</si>
  <si>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</si>
  <si>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</si>
  <si>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</si>
  <si>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</si>
  <si>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</si>
  <si>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</si>
  <si>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</si>
  <si>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</si>
  <si>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</si>
  <si>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</si>
  <si>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</si>
  <si>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</si>
  <si>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</si>
  <si>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</si>
  <si>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Only drug dose rate, fluid administration rate, and fluid bag size determine amount of drug added to IV bag.</t>
  </si>
  <si>
    <t xml:space="preserve">Patient weight only needed for total fluid rate &amp; drug loading dose calculations. </t>
  </si>
  <si>
    <t>CATS - Limit cats to 0.25 to 0.5 mg/kg loading dose</t>
  </si>
  <si>
    <t>Kilogram based calculations (with pounds/kilogram converter)</t>
  </si>
  <si>
    <t>For pounds to kilogram conversion see bottom of calculator.</t>
  </si>
  <si>
    <t>Lean body estimate</t>
  </si>
  <si>
    <t>MORPHINE - 0.12 to 0.36 mg/kg/hr (2 to 6 ug/kg/min).</t>
  </si>
  <si>
    <t xml:space="preserve">KETAMINE - 0.12 to 1.2 mg/kg/hr (2 to 20 ug/kg/minute). </t>
  </si>
  <si>
    <t>MORPHINE - 0.5 mg/kg IM (or very slowly IV)</t>
  </si>
  <si>
    <t>LIDOCAINE - 0.25 to 1 mg/kg IV</t>
  </si>
  <si>
    <t>MORPHINE - 15 mg/ml</t>
  </si>
  <si>
    <t>LIDOCAINE - 20 mg/ml</t>
  </si>
  <si>
    <t>KETAMINE - 100 mg/ml</t>
  </si>
  <si>
    <t xml:space="preserve">LIDOCAINE - 0.6 to 3.0 mg/kg/hr (10 to 50 ug/kg/minute). </t>
  </si>
  <si>
    <t>Dogs can be given up to 3.0 mg/kg/hr (50 mcg/kg/min)</t>
  </si>
  <si>
    <t>Cats should be limited to a maximum dose rate of 1.5 mg/kg/hr (25 mcg/kg/min)</t>
  </si>
  <si>
    <r>
      <rPr>
        <sz val="6"/>
        <rFont val="Calibri"/>
        <family val="2"/>
      </rPr>
      <t>©</t>
    </r>
    <r>
      <rPr>
        <sz val="6"/>
        <rFont val="Arial"/>
        <family val="2"/>
      </rPr>
      <t xml:space="preserve"> Robert M. Stein, DVM, PC</t>
    </r>
  </si>
  <si>
    <t>KETAMINE - 0.25 to 0.5 mg/kg IV</t>
  </si>
  <si>
    <t>Note - patient weight is only needed for fluid delivery rate calculations. The drug dose rate, fluid administration rate, and fluid bag size determine the amount of drug added to the IV bag.</t>
  </si>
  <si>
    <t>Value from F14 above</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</si>
  <si>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</si>
  <si>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At 0.50 mg/kg this patients needs a loading dose of:</t>
  </si>
  <si>
    <r>
      <t xml:space="preserve">DEXMEDETOMIDINE - 0.00025 to 0.0005 mg/kg/hr </t>
    </r>
    <r>
      <rPr>
        <b/>
        <sz val="9"/>
        <rFont val="Arial"/>
        <family val="2"/>
      </rPr>
      <t xml:space="preserve">(0.00415 to 0.00833 </t>
    </r>
    <r>
      <rPr>
        <b/>
        <sz val="9"/>
        <rFont val="Calibri"/>
        <family val="2"/>
      </rPr>
      <t>µ</t>
    </r>
    <r>
      <rPr>
        <b/>
        <sz val="9"/>
        <rFont val="Arial"/>
        <family val="2"/>
      </rPr>
      <t>g/kg/min)</t>
    </r>
  </si>
  <si>
    <t>MIDAZOLAM - 0.1 to 0.3 mg/kg/hr (0.0017 to 0.005 mg/kg/min)</t>
  </si>
  <si>
    <t>At 0.0005 mg/kg this patients needs a loading dose of:</t>
  </si>
  <si>
    <r>
      <t>MIDAZOLAM</t>
    </r>
    <r>
      <rPr>
        <b/>
        <sz val="10"/>
        <rFont val="Arial"/>
        <family val="2"/>
      </rPr>
      <t xml:space="preserve"> - 0.2 to 0.4 mg/kg  </t>
    </r>
  </si>
  <si>
    <t>At 0.2 mg/kg this patients needs a loading dose of:</t>
  </si>
  <si>
    <t>MIDAZOLAM - 5 mg/ml</t>
  </si>
  <si>
    <r>
      <t>DEXMEDETOMIDINE - 0.5 mg/ml</t>
    </r>
    <r>
      <rPr>
        <b/>
        <sz val="12"/>
        <color indexed="10"/>
        <rFont val="Arial"/>
        <family val="2"/>
      </rPr>
      <t xml:space="preserve"> </t>
    </r>
    <r>
      <rPr>
        <b/>
        <sz val="12"/>
        <rFont val="Arial"/>
        <family val="2"/>
      </rPr>
      <t>for CRI solution</t>
    </r>
    <r>
      <rPr>
        <b/>
        <sz val="10"/>
        <rFont val="Arial"/>
        <family val="2"/>
      </rPr>
      <t xml:space="preserve"> </t>
    </r>
    <r>
      <rPr>
        <b/>
        <sz val="10"/>
        <color indexed="10"/>
        <rFont val="Arial"/>
        <family val="2"/>
      </rPr>
      <t>(0.05 mg/ml dilution for loading dose)</t>
    </r>
  </si>
  <si>
    <r>
      <t>DEXMEDETOMIDINE</t>
    </r>
    <r>
      <rPr>
        <b/>
        <sz val="10"/>
        <rFont val="Arial"/>
        <family val="2"/>
      </rPr>
      <t xml:space="preserve"> - 0.0005 mg/kg</t>
    </r>
    <r>
      <rPr>
        <b/>
        <sz val="8"/>
        <rFont val="Arial"/>
        <family val="2"/>
      </rPr>
      <t xml:space="preserve"> </t>
    </r>
    <r>
      <rPr>
        <b/>
        <sz val="10"/>
        <color indexed="10"/>
        <rFont val="Arial"/>
        <family val="2"/>
      </rPr>
      <t>(use 0.05 mg/ml dilution of dexmedetomidine for loading dose)</t>
    </r>
    <r>
      <rPr>
        <b/>
        <sz val="10"/>
        <rFont val="Arial"/>
        <family val="2"/>
      </rPr>
      <t xml:space="preserve"> </t>
    </r>
    <r>
      <rPr>
        <b/>
        <sz val="8"/>
        <rFont val="Arial"/>
        <family val="2"/>
      </rPr>
      <t xml:space="preserve"> </t>
    </r>
  </si>
  <si>
    <r>
      <rPr>
        <b/>
        <sz val="22"/>
        <rFont val="Arial"/>
        <family val="2"/>
      </rPr>
      <t>M</t>
    </r>
    <r>
      <rPr>
        <b/>
        <sz val="22"/>
        <color indexed="10"/>
        <rFont val="Arial"/>
        <family val="2"/>
      </rPr>
      <t>orphine/</t>
    </r>
    <r>
      <rPr>
        <b/>
        <sz val="22"/>
        <rFont val="Arial"/>
        <family val="2"/>
      </rPr>
      <t>L</t>
    </r>
    <r>
      <rPr>
        <b/>
        <sz val="22"/>
        <color indexed="10"/>
        <rFont val="Arial"/>
        <family val="2"/>
      </rPr>
      <t>idocaine/</t>
    </r>
    <r>
      <rPr>
        <b/>
        <sz val="22"/>
        <rFont val="Arial"/>
        <family val="2"/>
      </rPr>
      <t>K</t>
    </r>
    <r>
      <rPr>
        <b/>
        <sz val="22"/>
        <color indexed="10"/>
        <rFont val="Arial"/>
        <family val="2"/>
      </rPr>
      <t>etamine/</t>
    </r>
    <r>
      <rPr>
        <b/>
        <sz val="22"/>
        <rFont val="Arial"/>
        <family val="2"/>
      </rPr>
      <t>D</t>
    </r>
    <r>
      <rPr>
        <b/>
        <sz val="22"/>
        <color indexed="10"/>
        <rFont val="Arial"/>
        <family val="2"/>
      </rPr>
      <t>exMed/</t>
    </r>
    <r>
      <rPr>
        <b/>
        <sz val="22"/>
        <rFont val="Arial"/>
        <family val="2"/>
      </rPr>
      <t>M</t>
    </r>
    <r>
      <rPr>
        <b/>
        <sz val="22"/>
        <color indexed="10"/>
        <rFont val="Arial"/>
        <family val="2"/>
      </rPr>
      <t>idazolam</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</si>
</sst>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 numFmtId="169" formatCode="0.00000"/>
    <numFmt numFmtId="170" formatCode="0.0000"/>
  </numFmts>
  <fonts count="64">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2"/>
    </font>
    <font>
      <u val="single"/>
      <sz val="10"/>
      <color indexed="36"/>
      <name val="Arial"/>
      <family val="2"/>
    </font>
    <font>
      <b/>
      <sz val="13"/>
      <name val="Arial"/>
      <family val="2"/>
    </font>
    <font>
      <sz val="10"/>
      <color indexed="10"/>
      <name val="Arial"/>
      <family val="2"/>
    </font>
    <font>
      <sz val="6"/>
      <name val="Arial"/>
      <family val="2"/>
    </font>
    <font>
      <sz val="6"/>
      <name val="Calibri"/>
      <family val="2"/>
    </font>
    <font>
      <b/>
      <u val="single"/>
      <sz val="8"/>
      <name val="Arial"/>
      <family val="2"/>
    </font>
    <font>
      <b/>
      <sz val="9"/>
      <name val="Arial"/>
      <family val="2"/>
    </font>
    <font>
      <b/>
      <sz val="9"/>
      <name val="Calibri"/>
      <family val="2"/>
    </font>
    <font>
      <b/>
      <sz val="10"/>
      <color indexed="10"/>
      <name val="Arial"/>
      <family val="2"/>
    </font>
    <font>
      <b/>
      <sz val="22"/>
      <name val="Arial"/>
      <family val="2"/>
    </font>
    <font>
      <b/>
      <sz val="2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0">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3"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5"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168" fontId="2" fillId="0" borderId="10" xfId="0" applyNumberFormat="1" applyFont="1" applyBorder="1" applyAlignment="1">
      <alignment/>
    </xf>
    <xf numFmtId="168" fontId="2" fillId="0" borderId="15"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 fillId="0" borderId="11" xfId="0" applyFont="1" applyBorder="1" applyAlignment="1">
      <alignment/>
    </xf>
    <xf numFmtId="0" fontId="3" fillId="0" borderId="11" xfId="0" applyFont="1" applyBorder="1" applyAlignment="1">
      <alignment/>
    </xf>
    <xf numFmtId="0" fontId="20" fillId="0" borderId="11" xfId="0" applyFont="1" applyBorder="1" applyAlignment="1">
      <alignment/>
    </xf>
    <xf numFmtId="2" fontId="0" fillId="0" borderId="0" xfId="0" applyNumberFormat="1" applyFont="1" applyAlignment="1">
      <alignment/>
    </xf>
    <xf numFmtId="0" fontId="21" fillId="0" borderId="0" xfId="0" applyFont="1" applyAlignment="1">
      <alignment/>
    </xf>
    <xf numFmtId="0" fontId="2" fillId="0" borderId="15" xfId="0" applyFont="1" applyBorder="1" applyAlignment="1">
      <alignment horizontal="center"/>
    </xf>
    <xf numFmtId="0" fontId="2" fillId="33" borderId="10" xfId="0" applyFont="1" applyFill="1" applyBorder="1" applyAlignment="1">
      <alignment/>
    </xf>
    <xf numFmtId="0" fontId="2" fillId="34" borderId="12" xfId="0" applyFont="1" applyFill="1" applyBorder="1" applyAlignment="1">
      <alignment/>
    </xf>
    <xf numFmtId="2" fontId="2" fillId="34" borderId="15" xfId="0" applyNumberFormat="1" applyFont="1" applyFill="1" applyBorder="1" applyAlignment="1">
      <alignment/>
    </xf>
    <xf numFmtId="0" fontId="19" fillId="0" borderId="16" xfId="0" applyFont="1" applyBorder="1" applyAlignment="1" applyProtection="1">
      <alignment horizontal="left"/>
      <protection/>
    </xf>
    <xf numFmtId="168" fontId="19"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2" fontId="2" fillId="0" borderId="10" xfId="0" applyNumberFormat="1" applyFont="1" applyBorder="1" applyAlignment="1">
      <alignment/>
    </xf>
    <xf numFmtId="0" fontId="2" fillId="0" borderId="12" xfId="0" applyFont="1" applyBorder="1" applyAlignment="1">
      <alignment/>
    </xf>
    <xf numFmtId="0" fontId="4" fillId="0" borderId="16"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17" xfId="0" applyFont="1" applyBorder="1" applyAlignment="1">
      <alignment/>
    </xf>
    <xf numFmtId="0" fontId="3" fillId="34" borderId="17" xfId="0" applyFont="1" applyFill="1" applyBorder="1" applyAlignment="1">
      <alignment/>
    </xf>
    <xf numFmtId="169" fontId="4" fillId="35" borderId="10" xfId="0" applyNumberFormat="1" applyFont="1" applyFill="1" applyBorder="1" applyAlignment="1" applyProtection="1">
      <alignment/>
      <protection locked="0"/>
    </xf>
    <xf numFmtId="169" fontId="2" fillId="0" borderId="10" xfId="0" applyNumberFormat="1" applyFont="1" applyBorder="1" applyAlignment="1">
      <alignment/>
    </xf>
    <xf numFmtId="2" fontId="3" fillId="34" borderId="15" xfId="0" applyNumberFormat="1" applyFont="1" applyFill="1" applyBorder="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6" xfId="0" applyFont="1" applyBorder="1" applyAlignment="1">
      <alignment/>
    </xf>
    <xf numFmtId="0" fontId="2" fillId="0" borderId="15" xfId="0" applyFont="1" applyBorder="1" applyAlignment="1">
      <alignment/>
    </xf>
    <xf numFmtId="0" fontId="2" fillId="0" borderId="17" xfId="0" applyFont="1" applyBorder="1" applyAlignment="1">
      <alignment/>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left"/>
    </xf>
    <xf numFmtId="0" fontId="8" fillId="0" borderId="11" xfId="0" applyFont="1" applyBorder="1" applyAlignment="1">
      <alignment horizontal="right"/>
    </xf>
    <xf numFmtId="0" fontId="8" fillId="0" borderId="10" xfId="0" applyFont="1" applyBorder="1" applyAlignment="1">
      <alignment horizontal="right"/>
    </xf>
    <xf numFmtId="0" fontId="3" fillId="0" borderId="11"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8" fillId="0" borderId="16" xfId="0" applyFont="1" applyBorder="1" applyAlignment="1">
      <alignment horizontal="right"/>
    </xf>
    <xf numFmtId="0" fontId="8" fillId="0" borderId="15" xfId="0" applyFont="1" applyBorder="1" applyAlignment="1">
      <alignment horizontal="right"/>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8" fillId="0" borderId="11"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2" fillId="0" borderId="10" xfId="0" applyFont="1" applyBorder="1" applyAlignment="1">
      <alignment horizontal="left"/>
    </xf>
    <xf numFmtId="0" fontId="2" fillId="0" borderId="12" xfId="0" applyFont="1" applyBorder="1" applyAlignment="1">
      <alignment horizontal="left"/>
    </xf>
    <xf numFmtId="0" fontId="16" fillId="0" borderId="18" xfId="0" applyFont="1" applyBorder="1" applyAlignment="1" applyProtection="1">
      <alignment horizontal="center"/>
      <protection/>
    </xf>
    <xf numFmtId="0" fontId="16" fillId="0" borderId="19" xfId="0" applyFont="1" applyBorder="1" applyAlignment="1" applyProtection="1">
      <alignment horizontal="center"/>
      <protection/>
    </xf>
    <xf numFmtId="0" fontId="16" fillId="0" borderId="20" xfId="0" applyFont="1" applyBorder="1" applyAlignment="1" applyProtection="1">
      <alignment horizontal="center"/>
      <protection/>
    </xf>
    <xf numFmtId="0" fontId="2" fillId="0" borderId="18" xfId="0" applyFont="1" applyBorder="1" applyAlignment="1">
      <alignment horizontal="left"/>
    </xf>
    <xf numFmtId="0" fontId="0" fillId="0" borderId="19" xfId="0" applyBorder="1" applyAlignment="1">
      <alignment/>
    </xf>
    <xf numFmtId="0" fontId="0" fillId="0" borderId="21" xfId="0" applyBorder="1" applyAlignment="1">
      <alignment/>
    </xf>
    <xf numFmtId="0" fontId="2" fillId="0" borderId="22" xfId="0" applyFont="1" applyBorder="1" applyAlignment="1">
      <alignment horizontal="center"/>
    </xf>
    <xf numFmtId="0" fontId="2" fillId="0" borderId="21" xfId="0" applyFont="1" applyBorder="1" applyAlignment="1">
      <alignment horizontal="center"/>
    </xf>
    <xf numFmtId="0" fontId="63"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17" xfId="0" applyFont="1" applyBorder="1" applyAlignment="1">
      <alignment/>
    </xf>
    <xf numFmtId="0" fontId="11" fillId="0" borderId="11" xfId="0" applyFont="1" applyBorder="1" applyAlignment="1">
      <alignment horizontal="left"/>
    </xf>
    <xf numFmtId="0" fontId="11" fillId="0" borderId="10" xfId="0" applyFont="1" applyBorder="1" applyAlignment="1">
      <alignment horizontal="left"/>
    </xf>
    <xf numFmtId="0" fontId="11" fillId="0" borderId="12" xfId="0" applyFont="1" applyBorder="1" applyAlignment="1">
      <alignment horizontal="left"/>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20" fillId="0" borderId="10" xfId="0" applyFont="1" applyBorder="1" applyAlignment="1">
      <alignment horizontal="left"/>
    </xf>
    <xf numFmtId="0" fontId="20" fillId="0" borderId="12" xfId="0" applyFont="1" applyBorder="1" applyAlignment="1">
      <alignment horizontal="left"/>
    </xf>
    <xf numFmtId="0" fontId="10" fillId="0" borderId="24" xfId="0" applyFont="1" applyBorder="1" applyAlignment="1" applyProtection="1">
      <alignment horizontal="left" vertical="top" wrapText="1"/>
      <protection/>
    </xf>
    <xf numFmtId="0" fontId="10" fillId="0" borderId="25" xfId="0" applyFont="1" applyBorder="1" applyAlignment="1" applyProtection="1">
      <alignment horizontal="left" vertical="top" wrapText="1"/>
      <protection/>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23" xfId="0" applyFont="1" applyBorder="1" applyAlignment="1" applyProtection="1">
      <alignment horizontal="center"/>
      <protection/>
    </xf>
    <xf numFmtId="0" fontId="2" fillId="0" borderId="16" xfId="0" applyFont="1" applyBorder="1" applyAlignment="1">
      <alignment horizontal="left"/>
    </xf>
    <xf numFmtId="0" fontId="2" fillId="0" borderId="15" xfId="0" applyFont="1" applyBorder="1" applyAlignment="1">
      <alignment horizontal="left"/>
    </xf>
    <xf numFmtId="0" fontId="2" fillId="0" borderId="17" xfId="0" applyFont="1" applyBorder="1" applyAlignment="1">
      <alignment horizontal="left"/>
    </xf>
    <xf numFmtId="0" fontId="10" fillId="0" borderId="10" xfId="0"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1" fillId="0" borderId="30" xfId="0" applyFont="1" applyBorder="1" applyAlignment="1">
      <alignment horizontal="center"/>
    </xf>
    <xf numFmtId="0" fontId="10" fillId="0" borderId="30" xfId="0" applyFont="1" applyBorder="1" applyAlignment="1">
      <alignment/>
    </xf>
    <xf numFmtId="0" fontId="14" fillId="0" borderId="11"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21" fillId="0" borderId="33"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7" fillId="0" borderId="16"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9" fillId="0" borderId="10" xfId="0" applyFont="1" applyBorder="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28" fillId="0" borderId="13" xfId="0" applyFont="1" applyBorder="1" applyAlignment="1" applyProtection="1">
      <alignment horizontal="center"/>
      <protection/>
    </xf>
    <xf numFmtId="0" fontId="13" fillId="0" borderId="14" xfId="0" applyFont="1" applyBorder="1" applyAlignment="1" applyProtection="1">
      <alignment horizontal="center"/>
      <protection/>
    </xf>
    <xf numFmtId="0" fontId="13" fillId="0" borderId="23" xfId="0" applyFont="1" applyBorder="1" applyAlignment="1" applyProtection="1">
      <alignment horizontal="center"/>
      <protection/>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23" xfId="0" applyFont="1" applyFill="1" applyBorder="1" applyAlignment="1" applyProtection="1">
      <alignment horizontal="right"/>
      <protection locked="0"/>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10" fillId="0" borderId="34" xfId="0" applyFont="1" applyBorder="1" applyAlignment="1">
      <alignment/>
    </xf>
    <xf numFmtId="0" fontId="10" fillId="0" borderId="0" xfId="0" applyFont="1" applyBorder="1" applyAlignment="1">
      <alignment/>
    </xf>
    <xf numFmtId="0" fontId="10" fillId="0" borderId="35"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2" fillId="34" borderId="10" xfId="0" applyFont="1" applyFill="1" applyBorder="1" applyAlignment="1">
      <alignment horizontal="left"/>
    </xf>
    <xf numFmtId="0" fontId="10" fillId="0" borderId="36" xfId="0" applyFont="1" applyBorder="1" applyAlignment="1" applyProtection="1">
      <alignment horizontal="center"/>
      <protection/>
    </xf>
    <xf numFmtId="0" fontId="10" fillId="0" borderId="37" xfId="0" applyFont="1" applyBorder="1" applyAlignment="1" applyProtection="1">
      <alignment horizontal="center"/>
      <protection/>
    </xf>
    <xf numFmtId="0" fontId="10" fillId="0" borderId="22" xfId="0" applyFont="1" applyBorder="1" applyAlignment="1" applyProtection="1">
      <alignment horizontal="center"/>
      <protection/>
    </xf>
    <xf numFmtId="0" fontId="10" fillId="0" borderId="20" xfId="0" applyFont="1" applyBorder="1" applyAlignment="1" applyProtection="1">
      <alignment horizontal="center"/>
      <protection/>
    </xf>
    <xf numFmtId="0" fontId="1" fillId="0" borderId="10" xfId="0" applyFont="1" applyBorder="1" applyAlignment="1">
      <alignment horizontal="center"/>
    </xf>
    <xf numFmtId="0" fontId="1" fillId="0" borderId="12"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10" fillId="0" borderId="30" xfId="0" applyFont="1" applyBorder="1" applyAlignment="1" applyProtection="1">
      <alignment horizontal="center"/>
      <protection/>
    </xf>
    <xf numFmtId="0" fontId="19" fillId="0" borderId="18" xfId="0" applyFont="1" applyBorder="1" applyAlignment="1" applyProtection="1">
      <alignment horizontal="left"/>
      <protection/>
    </xf>
    <xf numFmtId="0" fontId="19" fillId="0" borderId="21" xfId="0" applyFont="1" applyBorder="1" applyAlignment="1" applyProtection="1">
      <alignment horizontal="left"/>
      <protection/>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17" xfId="0" applyFont="1" applyBorder="1" applyAlignment="1">
      <alignment horizontal="center"/>
    </xf>
    <xf numFmtId="0" fontId="11" fillId="0" borderId="30" xfId="0" applyFont="1" applyBorder="1" applyAlignment="1" applyProtection="1">
      <alignment horizontal="center"/>
      <protection/>
    </xf>
    <xf numFmtId="0" fontId="2" fillId="33" borderId="1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95"/>
  <sheetViews>
    <sheetView tabSelected="1" zoomScalePageLayoutView="0" workbookViewId="0" topLeftCell="A1">
      <selection activeCell="A22" sqref="A22:I22"/>
    </sheetView>
  </sheetViews>
  <sheetFormatPr defaultColWidth="9.140625" defaultRowHeight="12.75"/>
  <cols>
    <col min="1" max="1" width="25.28125" style="2" customWidth="1"/>
    <col min="2" max="2" width="11.140625" style="2" customWidth="1"/>
    <col min="3" max="3" width="10.28125" style="2" customWidth="1"/>
    <col min="4" max="4" width="10.7109375" style="2" customWidth="1"/>
    <col min="5" max="5" width="6.7109375" style="2" customWidth="1"/>
    <col min="6" max="6" width="10.140625" style="2" customWidth="1"/>
    <col min="7" max="7" width="7.57421875" style="2" customWidth="1"/>
    <col min="8" max="8" width="9.421875" style="48" customWidth="1"/>
    <col min="9" max="9" width="8.7109375" style="2" customWidth="1"/>
    <col min="10" max="16384" width="9.140625" style="2" customWidth="1"/>
  </cols>
  <sheetData>
    <row r="1" spans="1:9" s="11" customFormat="1" ht="33">
      <c r="A1" s="155" t="s">
        <v>71</v>
      </c>
      <c r="B1" s="156"/>
      <c r="C1" s="156"/>
      <c r="D1" s="156"/>
      <c r="E1" s="156"/>
      <c r="F1" s="156"/>
      <c r="G1" s="156"/>
      <c r="H1" s="156"/>
      <c r="I1" s="157"/>
    </row>
    <row r="2" spans="1:9" s="20" customFormat="1" ht="20.25">
      <c r="A2" s="140" t="s">
        <v>16</v>
      </c>
      <c r="B2" s="141"/>
      <c r="C2" s="141"/>
      <c r="D2" s="141"/>
      <c r="E2" s="141"/>
      <c r="F2" s="141"/>
      <c r="G2" s="141"/>
      <c r="H2" s="141"/>
      <c r="I2" s="142"/>
    </row>
    <row r="3" spans="1:9" s="1" customFormat="1" ht="16.5" thickBot="1">
      <c r="A3" s="149" t="s">
        <v>44</v>
      </c>
      <c r="B3" s="150"/>
      <c r="C3" s="150"/>
      <c r="D3" s="150"/>
      <c r="E3" s="150"/>
      <c r="F3" s="150"/>
      <c r="G3" s="150"/>
      <c r="H3" s="150"/>
      <c r="I3" s="151"/>
    </row>
    <row r="4" spans="1:9" s="49" customFormat="1" ht="9" thickBot="1">
      <c r="A4" s="143" t="s">
        <v>57</v>
      </c>
      <c r="B4" s="144"/>
      <c r="C4" s="144"/>
      <c r="D4" s="144"/>
      <c r="E4" s="144"/>
      <c r="F4" s="144"/>
      <c r="G4" s="144"/>
      <c r="H4" s="144"/>
      <c r="I4" s="145"/>
    </row>
    <row r="5" spans="1:9" s="17" customFormat="1" ht="20.25">
      <c r="A5" s="18" t="s">
        <v>22</v>
      </c>
      <c r="B5" s="161"/>
      <c r="C5" s="161"/>
      <c r="D5" s="161"/>
      <c r="E5" s="161"/>
      <c r="F5" s="161"/>
      <c r="G5" s="19" t="s">
        <v>23</v>
      </c>
      <c r="H5" s="162">
        <v>41578</v>
      </c>
      <c r="I5" s="163"/>
    </row>
    <row r="6" spans="1:9" s="9" customFormat="1" ht="11.25">
      <c r="A6" s="164"/>
      <c r="B6" s="165"/>
      <c r="C6" s="165"/>
      <c r="D6" s="165"/>
      <c r="E6" s="165"/>
      <c r="F6" s="165"/>
      <c r="G6" s="165"/>
      <c r="H6" s="165"/>
      <c r="I6" s="166"/>
    </row>
    <row r="7" spans="1:9" s="4" customFormat="1" ht="18">
      <c r="A7" s="12" t="s">
        <v>4</v>
      </c>
      <c r="B7" s="30">
        <v>34.5</v>
      </c>
      <c r="C7" s="7" t="s">
        <v>19</v>
      </c>
      <c r="D7" s="152" t="s">
        <v>46</v>
      </c>
      <c r="E7" s="153"/>
      <c r="F7" s="153"/>
      <c r="G7" s="153"/>
      <c r="H7" s="153"/>
      <c r="I7" s="154"/>
    </row>
    <row r="8" spans="1:9" s="44" customFormat="1" ht="11.25">
      <c r="A8" s="115" t="s">
        <v>45</v>
      </c>
      <c r="B8" s="116"/>
      <c r="C8" s="116"/>
      <c r="D8" s="116"/>
      <c r="E8" s="116"/>
      <c r="F8" s="116"/>
      <c r="G8" s="116"/>
      <c r="H8" s="116"/>
      <c r="I8" s="117"/>
    </row>
    <row r="9" spans="1:9" s="44" customFormat="1" ht="11.25">
      <c r="A9" s="115" t="s">
        <v>42</v>
      </c>
      <c r="B9" s="116"/>
      <c r="C9" s="116"/>
      <c r="D9" s="116"/>
      <c r="E9" s="116"/>
      <c r="F9" s="116"/>
      <c r="G9" s="116"/>
      <c r="H9" s="116"/>
      <c r="I9" s="117"/>
    </row>
    <row r="10" spans="1:9" s="44" customFormat="1" ht="11.25">
      <c r="A10" s="115" t="s">
        <v>41</v>
      </c>
      <c r="B10" s="116"/>
      <c r="C10" s="116"/>
      <c r="D10" s="116"/>
      <c r="E10" s="116"/>
      <c r="F10" s="116"/>
      <c r="G10" s="116"/>
      <c r="H10" s="116"/>
      <c r="I10" s="117"/>
    </row>
    <row r="11" spans="1:9" s="5" customFormat="1" ht="11.25">
      <c r="A11" s="137"/>
      <c r="B11" s="135"/>
      <c r="C11" s="135"/>
      <c r="D11" s="135"/>
      <c r="E11" s="135"/>
      <c r="F11" s="135"/>
      <c r="G11" s="135"/>
      <c r="H11" s="135"/>
      <c r="I11" s="136"/>
    </row>
    <row r="12" spans="1:9" s="4" customFormat="1" ht="18">
      <c r="A12" s="13" t="s">
        <v>15</v>
      </c>
      <c r="B12" s="30">
        <v>1000</v>
      </c>
      <c r="C12" s="7" t="s">
        <v>1</v>
      </c>
      <c r="D12" s="180"/>
      <c r="E12" s="180"/>
      <c r="F12" s="180"/>
      <c r="G12" s="180"/>
      <c r="H12" s="180"/>
      <c r="I12" s="181"/>
    </row>
    <row r="13" spans="1:9" s="5" customFormat="1" ht="11.25">
      <c r="A13" s="137"/>
      <c r="B13" s="135"/>
      <c r="C13" s="135"/>
      <c r="D13" s="135"/>
      <c r="E13" s="135"/>
      <c r="F13" s="135"/>
      <c r="G13" s="135"/>
      <c r="H13" s="135"/>
      <c r="I13" s="136"/>
    </row>
    <row r="14" spans="1:9" s="5" customFormat="1" ht="18">
      <c r="A14" s="12" t="s">
        <v>13</v>
      </c>
      <c r="B14" s="31">
        <v>10</v>
      </c>
      <c r="C14" s="8" t="s">
        <v>20</v>
      </c>
      <c r="D14" s="81" t="s">
        <v>27</v>
      </c>
      <c r="E14" s="81"/>
      <c r="F14" s="42">
        <f>B14*B7</f>
        <v>345</v>
      </c>
      <c r="G14" s="28" t="s">
        <v>28</v>
      </c>
      <c r="H14" s="135"/>
      <c r="I14" s="136"/>
    </row>
    <row r="15" spans="1:9" s="5" customFormat="1" ht="11.25">
      <c r="A15" s="146"/>
      <c r="B15" s="147"/>
      <c r="C15" s="147"/>
      <c r="D15" s="147"/>
      <c r="E15" s="147"/>
      <c r="F15" s="147"/>
      <c r="G15" s="147"/>
      <c r="H15" s="147"/>
      <c r="I15" s="148"/>
    </row>
    <row r="16" spans="1:9" ht="12.75">
      <c r="A16" s="14" t="s">
        <v>3</v>
      </c>
      <c r="B16" s="89" t="s">
        <v>5</v>
      </c>
      <c r="C16" s="89"/>
      <c r="D16" s="89" t="s">
        <v>6</v>
      </c>
      <c r="E16" s="89"/>
      <c r="F16" s="89" t="s">
        <v>14</v>
      </c>
      <c r="G16" s="89"/>
      <c r="H16" s="89" t="s">
        <v>18</v>
      </c>
      <c r="I16" s="90"/>
    </row>
    <row r="17" spans="1:9" ht="18">
      <c r="A17" s="13" t="str">
        <f>IF(B17&gt;0.4,"Morph Dose High",IF(B17&lt;0.1,"Morph Dose Low","Morphine"))</f>
        <v>Morphine</v>
      </c>
      <c r="B17" s="30">
        <v>0.36</v>
      </c>
      <c r="C17" s="25" t="s">
        <v>2</v>
      </c>
      <c r="D17" s="39">
        <f>IF(B17&gt;0.4,"*High*",H17*B12)</f>
        <v>36</v>
      </c>
      <c r="E17" s="32" t="s">
        <v>0</v>
      </c>
      <c r="F17" s="36">
        <f>D17/15</f>
        <v>2.4</v>
      </c>
      <c r="G17" s="29" t="s">
        <v>1</v>
      </c>
      <c r="H17" s="38">
        <f>B17/B14</f>
        <v>0.036</v>
      </c>
      <c r="I17" s="33" t="s">
        <v>17</v>
      </c>
    </row>
    <row r="18" spans="1:9" s="5" customFormat="1" ht="11.25">
      <c r="A18" s="93"/>
      <c r="B18" s="94"/>
      <c r="C18" s="94"/>
      <c r="D18" s="94"/>
      <c r="E18" s="94"/>
      <c r="F18" s="94"/>
      <c r="G18" s="94"/>
      <c r="H18" s="94"/>
      <c r="I18" s="95"/>
    </row>
    <row r="19" spans="1:9" ht="18">
      <c r="A19" s="60" t="str">
        <f>IF(B19&gt;3,"Lido Dose High",IF(B19&lt;0.6,"Lido Dose Low","Lidocaine"))</f>
        <v>Lidocaine</v>
      </c>
      <c r="B19" s="61">
        <v>3</v>
      </c>
      <c r="C19" s="62" t="s">
        <v>2</v>
      </c>
      <c r="D19" s="39">
        <f>IF(B19&gt;3,"*High*",H19*B12)</f>
        <v>300</v>
      </c>
      <c r="E19" s="32" t="s">
        <v>0</v>
      </c>
      <c r="F19" s="36">
        <f>D19/20</f>
        <v>15</v>
      </c>
      <c r="G19" s="29" t="s">
        <v>1</v>
      </c>
      <c r="H19" s="63">
        <f>B19/B14</f>
        <v>0.3</v>
      </c>
      <c r="I19" s="64" t="s">
        <v>17</v>
      </c>
    </row>
    <row r="20" spans="1:9" s="5" customFormat="1" ht="11.25">
      <c r="A20" s="137"/>
      <c r="B20" s="135"/>
      <c r="C20" s="135"/>
      <c r="D20" s="135"/>
      <c r="E20" s="135"/>
      <c r="F20" s="135"/>
      <c r="G20" s="135"/>
      <c r="H20" s="135"/>
      <c r="I20" s="136"/>
    </row>
    <row r="21" spans="1:9" ht="18">
      <c r="A21" s="60" t="str">
        <f>IF(B21&gt;1.2,"Ket Dose High",IF(B21&lt;0.12,"Ket Dose Low","Ketamine"))</f>
        <v>Ketamine</v>
      </c>
      <c r="B21" s="61">
        <v>1.2</v>
      </c>
      <c r="C21" s="62" t="s">
        <v>2</v>
      </c>
      <c r="D21" s="39">
        <f>IF(B21&gt;1.2,"*High*",H21*B12)</f>
        <v>120</v>
      </c>
      <c r="E21" s="32" t="s">
        <v>0</v>
      </c>
      <c r="F21" s="36">
        <f>D21/100</f>
        <v>1.2</v>
      </c>
      <c r="G21" s="29" t="s">
        <v>1</v>
      </c>
      <c r="H21" s="63">
        <f>B21/B14</f>
        <v>0.12</v>
      </c>
      <c r="I21" s="64" t="s">
        <v>17</v>
      </c>
    </row>
    <row r="22" spans="1:9" s="5" customFormat="1" ht="11.25">
      <c r="A22" s="93"/>
      <c r="B22" s="94"/>
      <c r="C22" s="94"/>
      <c r="D22" s="94"/>
      <c r="E22" s="94"/>
      <c r="F22" s="94"/>
      <c r="G22" s="94"/>
      <c r="H22" s="94"/>
      <c r="I22" s="95"/>
    </row>
    <row r="23" spans="1:9" ht="18">
      <c r="A23" s="60" t="str">
        <f>IF(B23&gt;0.0005,"Dex Dose High",IF(B23&lt;0.00025,"Dex Dose Low","Dexmedetomidine"))</f>
        <v>Dexmedetomidine</v>
      </c>
      <c r="B23" s="71">
        <v>0.0005</v>
      </c>
      <c r="C23" s="62" t="s">
        <v>2</v>
      </c>
      <c r="D23" s="39">
        <f>IF(B23&gt;0.0005,"*High*",H23*B12)</f>
        <v>0.05</v>
      </c>
      <c r="E23" s="32" t="s">
        <v>0</v>
      </c>
      <c r="F23" s="36">
        <f>D23/0.5</f>
        <v>0.1</v>
      </c>
      <c r="G23" s="29" t="s">
        <v>1</v>
      </c>
      <c r="H23" s="72">
        <f>B23/B14</f>
        <v>5E-05</v>
      </c>
      <c r="I23" s="64" t="s">
        <v>17</v>
      </c>
    </row>
    <row r="24" spans="1:9" s="5" customFormat="1" ht="11.25">
      <c r="A24" s="93"/>
      <c r="B24" s="94"/>
      <c r="C24" s="94"/>
      <c r="D24" s="94"/>
      <c r="E24" s="94"/>
      <c r="F24" s="94"/>
      <c r="G24" s="94"/>
      <c r="H24" s="94"/>
      <c r="I24" s="95"/>
    </row>
    <row r="25" spans="1:9" ht="18.75" thickBot="1">
      <c r="A25" s="65" t="str">
        <f>IF(B25&gt;0.3,"Midaz Dose High",IF(B25&lt;0.1,"Midaz Dose Low","Midazolam"))</f>
        <v>Midazolam</v>
      </c>
      <c r="B25" s="66">
        <v>0.3</v>
      </c>
      <c r="C25" s="67" t="s">
        <v>2</v>
      </c>
      <c r="D25" s="40">
        <f>IF(B25&gt;0.3,"*High*",H25*B12)</f>
        <v>30</v>
      </c>
      <c r="E25" s="34" t="s">
        <v>0</v>
      </c>
      <c r="F25" s="37">
        <f>D25/5</f>
        <v>6</v>
      </c>
      <c r="G25" s="35" t="s">
        <v>1</v>
      </c>
      <c r="H25" s="68">
        <f>B25/B14</f>
        <v>0.03</v>
      </c>
      <c r="I25" s="69" t="s">
        <v>17</v>
      </c>
    </row>
    <row r="26" spans="1:9" s="5" customFormat="1" ht="12" thickBot="1">
      <c r="A26" s="139"/>
      <c r="B26" s="139"/>
      <c r="C26" s="139"/>
      <c r="D26" s="139"/>
      <c r="E26" s="139"/>
      <c r="F26" s="139"/>
      <c r="G26" s="139"/>
      <c r="H26" s="139"/>
      <c r="I26" s="139"/>
    </row>
    <row r="27" spans="1:9" s="3" customFormat="1" ht="18">
      <c r="A27" s="118" t="s">
        <v>7</v>
      </c>
      <c r="B27" s="119"/>
      <c r="C27" s="119"/>
      <c r="D27" s="119"/>
      <c r="E27" s="119"/>
      <c r="F27" s="119"/>
      <c r="G27" s="119"/>
      <c r="H27" s="119"/>
      <c r="I27" s="120"/>
    </row>
    <row r="28" spans="1:9" ht="15.75">
      <c r="A28" s="74" t="s">
        <v>47</v>
      </c>
      <c r="B28" s="75"/>
      <c r="C28" s="75"/>
      <c r="D28" s="75"/>
      <c r="E28" s="75"/>
      <c r="F28" s="75"/>
      <c r="G28" s="75"/>
      <c r="H28" s="75"/>
      <c r="I28" s="76"/>
    </row>
    <row r="29" spans="1:9" s="5" customFormat="1" ht="11.25">
      <c r="A29" s="93"/>
      <c r="B29" s="94"/>
      <c r="C29" s="94"/>
      <c r="D29" s="94"/>
      <c r="E29" s="94"/>
      <c r="F29" s="94"/>
      <c r="G29" s="94"/>
      <c r="H29" s="94"/>
      <c r="I29" s="95"/>
    </row>
    <row r="30" spans="1:9" ht="15.75">
      <c r="A30" s="74" t="s">
        <v>54</v>
      </c>
      <c r="B30" s="75"/>
      <c r="C30" s="75"/>
      <c r="D30" s="75"/>
      <c r="E30" s="75"/>
      <c r="F30" s="75"/>
      <c r="G30" s="75"/>
      <c r="H30" s="75"/>
      <c r="I30" s="76"/>
    </row>
    <row r="31" spans="1:9" ht="12.75">
      <c r="A31" s="46"/>
      <c r="B31" s="121" t="s">
        <v>55</v>
      </c>
      <c r="C31" s="121"/>
      <c r="D31" s="121"/>
      <c r="E31" s="121"/>
      <c r="F31" s="121"/>
      <c r="G31" s="121"/>
      <c r="H31" s="121"/>
      <c r="I31" s="122"/>
    </row>
    <row r="32" spans="1:9" ht="12.75">
      <c r="A32" s="46"/>
      <c r="B32" s="121" t="s">
        <v>56</v>
      </c>
      <c r="C32" s="121"/>
      <c r="D32" s="121"/>
      <c r="E32" s="121"/>
      <c r="F32" s="121"/>
      <c r="G32" s="121"/>
      <c r="H32" s="121"/>
      <c r="I32" s="122"/>
    </row>
    <row r="33" spans="1:9" s="5" customFormat="1" ht="11.25">
      <c r="A33" s="93"/>
      <c r="B33" s="94"/>
      <c r="C33" s="94"/>
      <c r="D33" s="94"/>
      <c r="E33" s="94"/>
      <c r="F33" s="94"/>
      <c r="G33" s="94"/>
      <c r="H33" s="94"/>
      <c r="I33" s="95"/>
    </row>
    <row r="34" spans="1:9" ht="15.75">
      <c r="A34" s="74" t="s">
        <v>48</v>
      </c>
      <c r="B34" s="75"/>
      <c r="C34" s="75"/>
      <c r="D34" s="75"/>
      <c r="E34" s="75"/>
      <c r="F34" s="75"/>
      <c r="G34" s="75"/>
      <c r="H34" s="75"/>
      <c r="I34" s="76"/>
    </row>
    <row r="35" spans="1:9" ht="12.75">
      <c r="A35" s="96"/>
      <c r="B35" s="97"/>
      <c r="C35" s="97"/>
      <c r="D35" s="97"/>
      <c r="E35" s="97"/>
      <c r="F35" s="97"/>
      <c r="G35" s="97"/>
      <c r="H35" s="97"/>
      <c r="I35" s="98"/>
    </row>
    <row r="36" spans="1:9" s="1" customFormat="1" ht="15.75">
      <c r="A36" s="83" t="s">
        <v>63</v>
      </c>
      <c r="B36" s="99"/>
      <c r="C36" s="99"/>
      <c r="D36" s="99"/>
      <c r="E36" s="99"/>
      <c r="F36" s="99"/>
      <c r="G36" s="99"/>
      <c r="H36" s="99"/>
      <c r="I36" s="100"/>
    </row>
    <row r="37" spans="1:9" s="1" customFormat="1" ht="15.75">
      <c r="A37" s="80"/>
      <c r="B37" s="81"/>
      <c r="C37" s="81"/>
      <c r="D37" s="81"/>
      <c r="E37" s="81"/>
      <c r="F37" s="81"/>
      <c r="G37" s="81"/>
      <c r="H37" s="81"/>
      <c r="I37" s="82"/>
    </row>
    <row r="38" spans="1:9" s="1" customFormat="1" ht="16.5" thickBot="1">
      <c r="A38" s="132" t="s">
        <v>64</v>
      </c>
      <c r="B38" s="133"/>
      <c r="C38" s="133"/>
      <c r="D38" s="133"/>
      <c r="E38" s="133"/>
      <c r="F38" s="133"/>
      <c r="G38" s="133"/>
      <c r="H38" s="133"/>
      <c r="I38" s="134"/>
    </row>
    <row r="39" spans="1:9" s="5" customFormat="1" ht="12" thickBot="1">
      <c r="A39" s="138"/>
      <c r="B39" s="138"/>
      <c r="C39" s="138"/>
      <c r="D39" s="138"/>
      <c r="E39" s="138"/>
      <c r="F39" s="138"/>
      <c r="G39" s="138"/>
      <c r="H39" s="138"/>
      <c r="I39" s="138"/>
    </row>
    <row r="40" spans="1:9" ht="18">
      <c r="A40" s="118" t="s">
        <v>8</v>
      </c>
      <c r="B40" s="119"/>
      <c r="C40" s="119"/>
      <c r="D40" s="119"/>
      <c r="E40" s="119"/>
      <c r="F40" s="119"/>
      <c r="G40" s="119"/>
      <c r="H40" s="119"/>
      <c r="I40" s="120"/>
    </row>
    <row r="41" spans="1:9" ht="15.75">
      <c r="A41" s="74" t="s">
        <v>49</v>
      </c>
      <c r="B41" s="75"/>
      <c r="C41" s="75"/>
      <c r="D41" s="75"/>
      <c r="E41" s="75"/>
      <c r="F41" s="75"/>
      <c r="G41" s="75"/>
      <c r="H41" s="75"/>
      <c r="I41" s="76"/>
    </row>
    <row r="42" spans="1:9" ht="15.75">
      <c r="A42" s="45"/>
      <c r="B42" s="87" t="s">
        <v>10</v>
      </c>
      <c r="C42" s="87"/>
      <c r="D42" s="87"/>
      <c r="E42" s="87"/>
      <c r="F42" s="87"/>
      <c r="G42" s="87"/>
      <c r="H42" s="10">
        <f>(B7*0.5)/15</f>
        <v>1.15</v>
      </c>
      <c r="I42" s="15" t="s">
        <v>1</v>
      </c>
    </row>
    <row r="43" spans="1:9" s="5" customFormat="1" ht="11.25">
      <c r="A43" s="93"/>
      <c r="B43" s="94"/>
      <c r="C43" s="94"/>
      <c r="D43" s="94"/>
      <c r="E43" s="94"/>
      <c r="F43" s="94"/>
      <c r="G43" s="94"/>
      <c r="H43" s="94"/>
      <c r="I43" s="95"/>
    </row>
    <row r="44" spans="1:9" ht="15.75">
      <c r="A44" s="74" t="s">
        <v>50</v>
      </c>
      <c r="B44" s="75"/>
      <c r="C44" s="75"/>
      <c r="D44" s="75"/>
      <c r="E44" s="75"/>
      <c r="F44" s="75"/>
      <c r="G44" s="75"/>
      <c r="H44" s="75"/>
      <c r="I44" s="76"/>
    </row>
    <row r="45" spans="1:9" ht="12.75">
      <c r="A45" s="16"/>
      <c r="B45" s="87" t="s">
        <v>9</v>
      </c>
      <c r="C45" s="87"/>
      <c r="D45" s="87"/>
      <c r="E45" s="87"/>
      <c r="F45" s="87"/>
      <c r="G45" s="87"/>
      <c r="H45" s="10">
        <f>B7*0.25/20</f>
        <v>0.43125</v>
      </c>
      <c r="I45" s="15" t="s">
        <v>1</v>
      </c>
    </row>
    <row r="46" spans="1:9" ht="12.75">
      <c r="A46" s="16"/>
      <c r="B46" s="87" t="s">
        <v>10</v>
      </c>
      <c r="C46" s="87"/>
      <c r="D46" s="87"/>
      <c r="E46" s="87"/>
      <c r="F46" s="87"/>
      <c r="G46" s="87"/>
      <c r="H46" s="10">
        <f>B7*0.5/20</f>
        <v>0.8625</v>
      </c>
      <c r="I46" s="15" t="s">
        <v>1</v>
      </c>
    </row>
    <row r="47" spans="1:9" ht="12.75">
      <c r="A47" s="16"/>
      <c r="B47" s="87" t="s">
        <v>11</v>
      </c>
      <c r="C47" s="87"/>
      <c r="D47" s="87"/>
      <c r="E47" s="87"/>
      <c r="F47" s="87"/>
      <c r="G47" s="87"/>
      <c r="H47" s="10">
        <f>B7/20</f>
        <v>1.725</v>
      </c>
      <c r="I47" s="15" t="s">
        <v>1</v>
      </c>
    </row>
    <row r="48" spans="1:9" ht="12.75">
      <c r="A48" s="47"/>
      <c r="B48" s="121" t="s">
        <v>43</v>
      </c>
      <c r="C48" s="121"/>
      <c r="D48" s="121"/>
      <c r="E48" s="121"/>
      <c r="F48" s="121"/>
      <c r="G48" s="121"/>
      <c r="H48" s="121"/>
      <c r="I48" s="122"/>
    </row>
    <row r="49" spans="1:9" ht="12.75">
      <c r="A49" s="47"/>
      <c r="B49" s="121" t="s">
        <v>21</v>
      </c>
      <c r="C49" s="121"/>
      <c r="D49" s="121"/>
      <c r="E49" s="121"/>
      <c r="F49" s="121"/>
      <c r="G49" s="121"/>
      <c r="H49" s="121"/>
      <c r="I49" s="122"/>
    </row>
    <row r="50" spans="1:9" ht="12.75">
      <c r="A50" s="170"/>
      <c r="B50" s="171"/>
      <c r="C50" s="171"/>
      <c r="D50" s="171"/>
      <c r="E50" s="171"/>
      <c r="F50" s="171"/>
      <c r="G50" s="171"/>
      <c r="H50" s="171"/>
      <c r="I50" s="172"/>
    </row>
    <row r="51" spans="1:9" ht="15.75">
      <c r="A51" s="74" t="s">
        <v>58</v>
      </c>
      <c r="B51" s="75"/>
      <c r="C51" s="75"/>
      <c r="D51" s="75"/>
      <c r="E51" s="75"/>
      <c r="F51" s="75"/>
      <c r="G51" s="75"/>
      <c r="H51" s="75"/>
      <c r="I51" s="76"/>
    </row>
    <row r="52" spans="1:9" ht="12.75">
      <c r="A52" s="16"/>
      <c r="B52" s="87" t="s">
        <v>9</v>
      </c>
      <c r="C52" s="87"/>
      <c r="D52" s="87"/>
      <c r="E52" s="87"/>
      <c r="F52" s="87"/>
      <c r="G52" s="87"/>
      <c r="H52" s="10">
        <f>B7*0.25/100</f>
        <v>0.08625</v>
      </c>
      <c r="I52" s="15" t="s">
        <v>1</v>
      </c>
    </row>
    <row r="53" spans="1:9" ht="12.75">
      <c r="A53" s="16"/>
      <c r="B53" s="87" t="s">
        <v>62</v>
      </c>
      <c r="C53" s="87"/>
      <c r="D53" s="87"/>
      <c r="E53" s="87"/>
      <c r="F53" s="87"/>
      <c r="G53" s="87"/>
      <c r="H53" s="10">
        <f>B7*0.5/100</f>
        <v>0.1725</v>
      </c>
      <c r="I53" s="15" t="s">
        <v>1</v>
      </c>
    </row>
    <row r="54" spans="1:9" ht="15.75">
      <c r="A54" s="80"/>
      <c r="B54" s="81"/>
      <c r="C54" s="81"/>
      <c r="D54" s="81"/>
      <c r="E54" s="81"/>
      <c r="F54" s="81"/>
      <c r="G54" s="81"/>
      <c r="H54" s="81"/>
      <c r="I54" s="82"/>
    </row>
    <row r="55" spans="1:9" ht="15.75">
      <c r="A55" s="83" t="s">
        <v>70</v>
      </c>
      <c r="B55" s="84"/>
      <c r="C55" s="84"/>
      <c r="D55" s="84"/>
      <c r="E55" s="84"/>
      <c r="F55" s="84"/>
      <c r="G55" s="84"/>
      <c r="H55" s="84"/>
      <c r="I55" s="85"/>
    </row>
    <row r="56" spans="1:9" ht="12.75">
      <c r="A56" s="86" t="s">
        <v>65</v>
      </c>
      <c r="B56" s="87"/>
      <c r="C56" s="87"/>
      <c r="D56" s="87"/>
      <c r="E56" s="87"/>
      <c r="F56" s="87"/>
      <c r="G56" s="87"/>
      <c r="H56" s="10">
        <f>(B7*0.0005)/0.05</f>
        <v>0.34500000000000003</v>
      </c>
      <c r="I56" s="15" t="s">
        <v>1</v>
      </c>
    </row>
    <row r="57" spans="1:9" ht="12.75">
      <c r="A57" s="88"/>
      <c r="B57" s="89"/>
      <c r="C57" s="89"/>
      <c r="D57" s="89"/>
      <c r="E57" s="89"/>
      <c r="F57" s="89"/>
      <c r="G57" s="89"/>
      <c r="H57" s="89"/>
      <c r="I57" s="90"/>
    </row>
    <row r="58" spans="1:9" ht="15.75">
      <c r="A58" s="83" t="s">
        <v>66</v>
      </c>
      <c r="B58" s="84"/>
      <c r="C58" s="84"/>
      <c r="D58" s="84"/>
      <c r="E58" s="84"/>
      <c r="F58" s="84"/>
      <c r="G58" s="84"/>
      <c r="H58" s="84"/>
      <c r="I58" s="85"/>
    </row>
    <row r="59" spans="1:9" ht="13.5" thickBot="1">
      <c r="A59" s="91" t="s">
        <v>67</v>
      </c>
      <c r="B59" s="92"/>
      <c r="C59" s="92"/>
      <c r="D59" s="92"/>
      <c r="E59" s="92"/>
      <c r="F59" s="92"/>
      <c r="G59" s="92"/>
      <c r="H59" s="73">
        <f>(B7*0.2)/5</f>
        <v>1.3800000000000001</v>
      </c>
      <c r="I59" s="70" t="s">
        <v>1</v>
      </c>
    </row>
    <row r="60" spans="1:9" s="5" customFormat="1" ht="12" thickBot="1">
      <c r="A60" s="167"/>
      <c r="B60" s="168"/>
      <c r="C60" s="168"/>
      <c r="D60" s="168"/>
      <c r="E60" s="168"/>
      <c r="F60" s="168"/>
      <c r="G60" s="168"/>
      <c r="H60" s="168"/>
      <c r="I60" s="169"/>
    </row>
    <row r="61" spans="1:9" ht="18">
      <c r="A61" s="118" t="s">
        <v>12</v>
      </c>
      <c r="B61" s="119"/>
      <c r="C61" s="119"/>
      <c r="D61" s="119"/>
      <c r="E61" s="119"/>
      <c r="F61" s="119"/>
      <c r="G61" s="119"/>
      <c r="H61" s="119"/>
      <c r="I61" s="120"/>
    </row>
    <row r="62" spans="1:9" ht="15.75">
      <c r="A62" s="74" t="s">
        <v>51</v>
      </c>
      <c r="B62" s="75"/>
      <c r="C62" s="75"/>
      <c r="D62" s="75"/>
      <c r="E62" s="75"/>
      <c r="F62" s="75"/>
      <c r="G62" s="75"/>
      <c r="H62" s="75"/>
      <c r="I62" s="76"/>
    </row>
    <row r="63" spans="1:9" ht="15.75">
      <c r="A63" s="74" t="s">
        <v>52</v>
      </c>
      <c r="B63" s="75"/>
      <c r="C63" s="75"/>
      <c r="D63" s="75"/>
      <c r="E63" s="75"/>
      <c r="F63" s="75"/>
      <c r="G63" s="75"/>
      <c r="H63" s="75"/>
      <c r="I63" s="76"/>
    </row>
    <row r="64" spans="1:9" s="3" customFormat="1" ht="15.75">
      <c r="A64" s="74" t="s">
        <v>53</v>
      </c>
      <c r="B64" s="75"/>
      <c r="C64" s="75"/>
      <c r="D64" s="75"/>
      <c r="E64" s="75"/>
      <c r="F64" s="75"/>
      <c r="G64" s="75"/>
      <c r="H64" s="75"/>
      <c r="I64" s="76"/>
    </row>
    <row r="65" spans="1:9" s="1" customFormat="1" ht="15.75">
      <c r="A65" s="74" t="s">
        <v>69</v>
      </c>
      <c r="B65" s="75"/>
      <c r="C65" s="75"/>
      <c r="D65" s="75"/>
      <c r="E65" s="75"/>
      <c r="F65" s="75"/>
      <c r="G65" s="75"/>
      <c r="H65" s="75"/>
      <c r="I65" s="76"/>
    </row>
    <row r="66" spans="1:9" s="1" customFormat="1" ht="16.5" thickBot="1">
      <c r="A66" s="77" t="s">
        <v>68</v>
      </c>
      <c r="B66" s="78"/>
      <c r="C66" s="78"/>
      <c r="D66" s="78"/>
      <c r="E66" s="78"/>
      <c r="F66" s="78"/>
      <c r="G66" s="78"/>
      <c r="H66" s="78"/>
      <c r="I66" s="79"/>
    </row>
    <row r="67" spans="1:9" s="5" customFormat="1" ht="12" thickBot="1">
      <c r="A67" s="138"/>
      <c r="B67" s="138"/>
      <c r="C67" s="138"/>
      <c r="D67" s="138"/>
      <c r="E67" s="138"/>
      <c r="F67" s="138"/>
      <c r="G67" s="138"/>
      <c r="H67" s="138"/>
      <c r="I67" s="138"/>
    </row>
    <row r="68" spans="1:9" s="5" customFormat="1" ht="18">
      <c r="A68" s="129" t="s">
        <v>24</v>
      </c>
      <c r="B68" s="130"/>
      <c r="C68" s="130"/>
      <c r="D68" s="130"/>
      <c r="E68" s="130"/>
      <c r="F68" s="130"/>
      <c r="G68" s="130"/>
      <c r="H68" s="130"/>
      <c r="I68" s="131"/>
    </row>
    <row r="69" spans="1:9" s="5" customFormat="1" ht="11.25">
      <c r="A69" s="158" t="s">
        <v>25</v>
      </c>
      <c r="B69" s="159"/>
      <c r="C69" s="159"/>
      <c r="D69" s="159"/>
      <c r="E69" s="159"/>
      <c r="F69" s="159"/>
      <c r="G69" s="159"/>
      <c r="H69" s="159"/>
      <c r="I69" s="160"/>
    </row>
    <row r="70" spans="1:9" s="5" customFormat="1" ht="18">
      <c r="A70" s="183" t="s">
        <v>26</v>
      </c>
      <c r="B70" s="184"/>
      <c r="C70" s="21">
        <f>(((B7*30)+70)/24)/B7</f>
        <v>1.3345410628019323</v>
      </c>
      <c r="D70" s="22" t="s">
        <v>20</v>
      </c>
      <c r="E70" s="23" t="s">
        <v>27</v>
      </c>
      <c r="F70" s="43">
        <f>C70*B7</f>
        <v>46.041666666666664</v>
      </c>
      <c r="G70" s="41" t="s">
        <v>28</v>
      </c>
      <c r="H70" s="176"/>
      <c r="I70" s="177"/>
    </row>
    <row r="71" spans="1:9" s="5" customFormat="1" ht="18.75" thickBot="1">
      <c r="A71" s="54" t="s">
        <v>39</v>
      </c>
      <c r="B71" s="55">
        <v>1.5</v>
      </c>
      <c r="C71" s="56">
        <f>B71*C70</f>
        <v>2.0018115942028984</v>
      </c>
      <c r="D71" s="57" t="s">
        <v>20</v>
      </c>
      <c r="E71" s="50" t="s">
        <v>27</v>
      </c>
      <c r="F71" s="58">
        <f>B71*F70</f>
        <v>69.0625</v>
      </c>
      <c r="G71" s="59" t="s">
        <v>28</v>
      </c>
      <c r="H71" s="174"/>
      <c r="I71" s="175"/>
    </row>
    <row r="72" spans="1:9" s="5" customFormat="1" ht="12" thickBot="1">
      <c r="A72" s="182"/>
      <c r="B72" s="182"/>
      <c r="C72" s="182"/>
      <c r="D72" s="182"/>
      <c r="E72" s="182"/>
      <c r="F72" s="182"/>
      <c r="G72" s="182"/>
      <c r="H72" s="182"/>
      <c r="I72" s="182"/>
    </row>
    <row r="73" spans="1:9" ht="18">
      <c r="A73" s="129" t="s">
        <v>29</v>
      </c>
      <c r="B73" s="130"/>
      <c r="C73" s="130"/>
      <c r="D73" s="130"/>
      <c r="E73" s="130"/>
      <c r="F73" s="130"/>
      <c r="G73" s="130"/>
      <c r="H73" s="130"/>
      <c r="I73" s="131"/>
    </row>
    <row r="74" spans="1:9" s="1" customFormat="1" ht="15.75">
      <c r="A74" s="83" t="s">
        <v>40</v>
      </c>
      <c r="B74" s="99"/>
      <c r="C74" s="24">
        <f>F14</f>
        <v>345</v>
      </c>
      <c r="D74" s="173" t="s">
        <v>28</v>
      </c>
      <c r="E74" s="173"/>
      <c r="F74" s="81" t="s">
        <v>60</v>
      </c>
      <c r="G74" s="81"/>
      <c r="H74" s="81"/>
      <c r="I74" s="82"/>
    </row>
    <row r="75" spans="1:9" s="1" customFormat="1" ht="15.75">
      <c r="A75" s="83" t="s">
        <v>30</v>
      </c>
      <c r="B75" s="99"/>
      <c r="C75" s="6">
        <v>10</v>
      </c>
      <c r="D75" s="189" t="s">
        <v>31</v>
      </c>
      <c r="E75" s="189"/>
      <c r="F75" s="178"/>
      <c r="G75" s="178"/>
      <c r="H75" s="178"/>
      <c r="I75" s="179"/>
    </row>
    <row r="76" spans="1:9" s="1" customFormat="1" ht="15.75">
      <c r="A76" s="83" t="s">
        <v>32</v>
      </c>
      <c r="B76" s="99"/>
      <c r="C76" s="26">
        <f>1/C77</f>
        <v>1.0434782608695652</v>
      </c>
      <c r="D76" s="173" t="s">
        <v>33</v>
      </c>
      <c r="E76" s="173"/>
      <c r="F76" s="178"/>
      <c r="G76" s="178"/>
      <c r="H76" s="178"/>
      <c r="I76" s="179"/>
    </row>
    <row r="77" spans="1:9" s="1" customFormat="1" ht="16.5" thickBot="1">
      <c r="A77" s="132" t="s">
        <v>34</v>
      </c>
      <c r="B77" s="133"/>
      <c r="C77" s="53">
        <f>C74*C75/3600</f>
        <v>0.9583333333333334</v>
      </c>
      <c r="D77" s="185" t="s">
        <v>35</v>
      </c>
      <c r="E77" s="185"/>
      <c r="F77" s="186"/>
      <c r="G77" s="186"/>
      <c r="H77" s="186"/>
      <c r="I77" s="187"/>
    </row>
    <row r="78" spans="1:9" s="5" customFormat="1" ht="12" thickBot="1">
      <c r="A78" s="188"/>
      <c r="B78" s="188"/>
      <c r="C78" s="188"/>
      <c r="D78" s="188"/>
      <c r="E78" s="188"/>
      <c r="F78" s="188"/>
      <c r="G78" s="188"/>
      <c r="H78" s="188"/>
      <c r="I78" s="188"/>
    </row>
    <row r="79" spans="1:9" ht="18">
      <c r="A79" s="129" t="s">
        <v>36</v>
      </c>
      <c r="B79" s="130"/>
      <c r="C79" s="130"/>
      <c r="D79" s="130"/>
      <c r="E79" s="130"/>
      <c r="F79" s="130"/>
      <c r="G79" s="130"/>
      <c r="H79" s="130"/>
      <c r="I79" s="131"/>
    </row>
    <row r="80" spans="1:9" s="5" customFormat="1" ht="11.25">
      <c r="A80" s="123" t="s">
        <v>61</v>
      </c>
      <c r="B80" s="124"/>
      <c r="C80" s="124"/>
      <c r="D80" s="124"/>
      <c r="E80" s="124"/>
      <c r="F80" s="124"/>
      <c r="G80" s="124"/>
      <c r="H80" s="124"/>
      <c r="I80" s="125"/>
    </row>
    <row r="81" spans="1:9" s="5" customFormat="1" ht="11.25">
      <c r="A81" s="126"/>
      <c r="B81" s="127"/>
      <c r="C81" s="127"/>
      <c r="D81" s="127"/>
      <c r="E81" s="127"/>
      <c r="F81" s="127"/>
      <c r="G81" s="127"/>
      <c r="H81" s="127"/>
      <c r="I81" s="128"/>
    </row>
    <row r="82" spans="1:9" s="5" customFormat="1" ht="11.25">
      <c r="A82" s="101"/>
      <c r="B82" s="102"/>
      <c r="C82" s="102"/>
      <c r="D82" s="102"/>
      <c r="E82" s="102"/>
      <c r="F82" s="102"/>
      <c r="G82" s="102"/>
      <c r="H82" s="102"/>
      <c r="I82" s="103"/>
    </row>
    <row r="83" spans="1:9" s="27" customFormat="1" ht="15.75">
      <c r="A83" s="104" t="s">
        <v>37</v>
      </c>
      <c r="B83" s="105"/>
      <c r="C83" s="106"/>
      <c r="D83" s="6">
        <v>13.4</v>
      </c>
      <c r="E83" s="51" t="s">
        <v>38</v>
      </c>
      <c r="F83" s="107" t="s">
        <v>27</v>
      </c>
      <c r="G83" s="108"/>
      <c r="H83" s="24">
        <f>D83/2.2</f>
        <v>6.090909090909091</v>
      </c>
      <c r="I83" s="52" t="s">
        <v>19</v>
      </c>
    </row>
    <row r="84" spans="1:9" ht="12.75" customHeight="1">
      <c r="A84" s="109" t="s">
        <v>59</v>
      </c>
      <c r="B84" s="110"/>
      <c r="C84" s="110"/>
      <c r="D84" s="110"/>
      <c r="E84" s="110"/>
      <c r="F84" s="110"/>
      <c r="G84" s="110"/>
      <c r="H84" s="110"/>
      <c r="I84" s="111"/>
    </row>
    <row r="85" spans="1:9" s="3" customFormat="1" ht="12.75" customHeight="1" thickBot="1">
      <c r="A85" s="112"/>
      <c r="B85" s="113"/>
      <c r="C85" s="113"/>
      <c r="D85" s="113"/>
      <c r="E85" s="113"/>
      <c r="F85" s="113"/>
      <c r="G85" s="113"/>
      <c r="H85" s="113"/>
      <c r="I85" s="114"/>
    </row>
    <row r="86" spans="1:9" s="3" customFormat="1" ht="12.75">
      <c r="A86" s="2"/>
      <c r="B86" s="2"/>
      <c r="C86" s="2"/>
      <c r="D86" s="2"/>
      <c r="E86" s="2"/>
      <c r="F86" s="2"/>
      <c r="G86" s="2"/>
      <c r="H86" s="48"/>
      <c r="I86" s="2"/>
    </row>
    <row r="88" spans="1:9" s="3" customFormat="1" ht="12.75">
      <c r="A88" s="2"/>
      <c r="B88" s="2"/>
      <c r="C88" s="2"/>
      <c r="D88" s="2"/>
      <c r="E88" s="2"/>
      <c r="F88" s="2"/>
      <c r="G88" s="2"/>
      <c r="H88" s="48"/>
      <c r="I88" s="2"/>
    </row>
    <row r="93" spans="1:9" s="1" customFormat="1" ht="15">
      <c r="A93" s="2"/>
      <c r="B93" s="2"/>
      <c r="C93" s="2"/>
      <c r="D93" s="2"/>
      <c r="E93" s="2"/>
      <c r="F93" s="2"/>
      <c r="G93" s="2"/>
      <c r="H93" s="48"/>
      <c r="I93" s="2"/>
    </row>
    <row r="95" spans="1:9" s="1" customFormat="1" ht="15">
      <c r="A95" s="2"/>
      <c r="B95" s="2"/>
      <c r="C95" s="2"/>
      <c r="D95" s="2"/>
      <c r="E95" s="2"/>
      <c r="F95" s="2"/>
      <c r="G95" s="2"/>
      <c r="H95" s="48"/>
      <c r="I95" s="2"/>
    </row>
  </sheetData>
  <sheetProtection password="870A" sheet="1" objects="1" scenarios="1"/>
  <mergeCells count="93">
    <mergeCell ref="A8:I8"/>
    <mergeCell ref="A79:I79"/>
    <mergeCell ref="A70:B70"/>
    <mergeCell ref="A51:I51"/>
    <mergeCell ref="D77:E77"/>
    <mergeCell ref="F77:I77"/>
    <mergeCell ref="A78:I78"/>
    <mergeCell ref="A75:B75"/>
    <mergeCell ref="D75:E75"/>
    <mergeCell ref="F75:I75"/>
    <mergeCell ref="A76:B76"/>
    <mergeCell ref="D76:E76"/>
    <mergeCell ref="F76:I76"/>
    <mergeCell ref="A77:B77"/>
    <mergeCell ref="D12:I12"/>
    <mergeCell ref="A13:I13"/>
    <mergeCell ref="A72:I72"/>
    <mergeCell ref="A29:I29"/>
    <mergeCell ref="A61:I61"/>
    <mergeCell ref="A44:I44"/>
    <mergeCell ref="B52:G52"/>
    <mergeCell ref="B53:G53"/>
    <mergeCell ref="B47:G47"/>
    <mergeCell ref="A63:I63"/>
    <mergeCell ref="H70:I70"/>
    <mergeCell ref="B49:I49"/>
    <mergeCell ref="A60:I60"/>
    <mergeCell ref="A50:I50"/>
    <mergeCell ref="B45:G45"/>
    <mergeCell ref="D74:E74"/>
    <mergeCell ref="F74:I74"/>
    <mergeCell ref="A67:I67"/>
    <mergeCell ref="H71:I71"/>
    <mergeCell ref="H16:I16"/>
    <mergeCell ref="D7:I7"/>
    <mergeCell ref="A11:I11"/>
    <mergeCell ref="A1:I1"/>
    <mergeCell ref="A68:I68"/>
    <mergeCell ref="A69:I69"/>
    <mergeCell ref="B5:F5"/>
    <mergeCell ref="H5:I5"/>
    <mergeCell ref="A6:I6"/>
    <mergeCell ref="B48:I48"/>
    <mergeCell ref="A41:I41"/>
    <mergeCell ref="B42:G42"/>
    <mergeCell ref="A26:I26"/>
    <mergeCell ref="A2:I2"/>
    <mergeCell ref="A4:I4"/>
    <mergeCell ref="B16:C16"/>
    <mergeCell ref="D16:E16"/>
    <mergeCell ref="A15:I15"/>
    <mergeCell ref="A3:I3"/>
    <mergeCell ref="F16:G16"/>
    <mergeCell ref="A73:I73"/>
    <mergeCell ref="A74:B74"/>
    <mergeCell ref="A38:I38"/>
    <mergeCell ref="D14:E14"/>
    <mergeCell ref="A28:I28"/>
    <mergeCell ref="B46:G46"/>
    <mergeCell ref="H14:I14"/>
    <mergeCell ref="A20:I20"/>
    <mergeCell ref="A18:I18"/>
    <mergeCell ref="A39:I39"/>
    <mergeCell ref="A83:C83"/>
    <mergeCell ref="F83:G83"/>
    <mergeCell ref="A84:I85"/>
    <mergeCell ref="A9:I9"/>
    <mergeCell ref="A10:I10"/>
    <mergeCell ref="A33:I33"/>
    <mergeCell ref="A34:I34"/>
    <mergeCell ref="A27:I27"/>
    <mergeCell ref="A43:I43"/>
    <mergeCell ref="B31:I31"/>
    <mergeCell ref="A22:I22"/>
    <mergeCell ref="A24:I24"/>
    <mergeCell ref="A35:I35"/>
    <mergeCell ref="A36:I36"/>
    <mergeCell ref="A37:I37"/>
    <mergeCell ref="A82:I82"/>
    <mergeCell ref="A80:I81"/>
    <mergeCell ref="A30:I30"/>
    <mergeCell ref="A40:I40"/>
    <mergeCell ref="B32:I32"/>
    <mergeCell ref="A65:I65"/>
    <mergeCell ref="A66:I66"/>
    <mergeCell ref="A54:I54"/>
    <mergeCell ref="A55:I55"/>
    <mergeCell ref="A56:G56"/>
    <mergeCell ref="A57:I57"/>
    <mergeCell ref="A58:I58"/>
    <mergeCell ref="A59:G59"/>
    <mergeCell ref="A62:I62"/>
    <mergeCell ref="A64:I64"/>
  </mergeCells>
  <printOptions horizontalCentered="1"/>
  <pageMargins left="0.4" right="0.4"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2013-10-31T14:23:51Z</cp:lastPrinted>
  <dcterms:created xsi:type="dcterms:W3CDTF">2004-01-20T21:33:59Z</dcterms:created>
  <dcterms:modified xsi:type="dcterms:W3CDTF">2013-10-31T14:23:59Z</dcterms:modified>
  <cp:category/>
  <cp:version/>
  <cp:contentType/>
  <cp:contentStatus/>
</cp:coreProperties>
</file>